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VOKOSAU1" sheetId="1" r:id="rId1"/>
  </sheets>
  <definedNames>
    <definedName name="_Regression_Int" localSheetId="0" hidden="1">1</definedName>
    <definedName name="_xlnm.Print_Area" localSheetId="0">'VOKOSAU1'!$A$1:$G$81</definedName>
    <definedName name="Druckbereich_MI" localSheetId="0">'VOKOSAU1'!$A$1:$G$81</definedName>
  </definedNames>
  <calcPr fullCalcOnLoad="1"/>
</workbook>
</file>

<file path=xl/sharedStrings.xml><?xml version="1.0" encoding="utf-8"?>
<sst xmlns="http://schemas.openxmlformats.org/spreadsheetml/2006/main" count="133" uniqueCount="95">
  <si>
    <t>&gt;&gt;&gt; Rentabilität der Ferkelerzeugung &lt;&lt;&lt;</t>
  </si>
  <si>
    <t>Biologische Leistungen der Sau</t>
  </si>
  <si>
    <t>Säugedauer</t>
  </si>
  <si>
    <t>Tage</t>
  </si>
  <si>
    <t>Zeit Absetzen bis Belegen</t>
  </si>
  <si>
    <t>ZWZ</t>
  </si>
  <si>
    <t>% Umrauscher</t>
  </si>
  <si>
    <t>%</t>
  </si>
  <si>
    <t>Würfe/Jahr</t>
  </si>
  <si>
    <t>Tage letzter Wurf bis Abgang</t>
  </si>
  <si>
    <t>Remontierung</t>
  </si>
  <si>
    <t>geb.Ferkel</t>
  </si>
  <si>
    <t>geb.Ferkel/Wurf</t>
  </si>
  <si>
    <t>/Sau/Jahr</t>
  </si>
  <si>
    <t>St.</t>
  </si>
  <si>
    <t>Verluste bis Absetzen</t>
  </si>
  <si>
    <t>-abgesetzt:</t>
  </si>
  <si>
    <t>Biologische Leistungen Ferkelaufzucht</t>
  </si>
  <si>
    <t xml:space="preserve">   Tage</t>
  </si>
  <si>
    <t xml:space="preserve"> g Zun.</t>
  </si>
  <si>
    <t>Futterv.</t>
  </si>
  <si>
    <t>bis zum Absetzen</t>
  </si>
  <si>
    <t>kg</t>
  </si>
  <si>
    <t>bis zu</t>
  </si>
  <si>
    <t>Verkaufsgewicht</t>
  </si>
  <si>
    <t>Futterverbrauch kg</t>
  </si>
  <si>
    <t>Verluste nach Absetzen</t>
  </si>
  <si>
    <t>Verk. Ferkel/S. u. J.</t>
  </si>
  <si>
    <t>Vermarktung</t>
  </si>
  <si>
    <t>- Altsau</t>
  </si>
  <si>
    <t>EUR/Sau  *</t>
  </si>
  <si>
    <t>% =</t>
  </si>
  <si>
    <t>- Spanferkel</t>
  </si>
  <si>
    <t>EUR/St. *</t>
  </si>
  <si>
    <t>- verkaufte Qual.-Ferkel</t>
  </si>
  <si>
    <t>St./Sau *</t>
  </si>
  <si>
    <t>- Mehrwertsteuersatz</t>
  </si>
  <si>
    <t>Direktkosten</t>
  </si>
  <si>
    <t>- Bestandsergänzung</t>
  </si>
  <si>
    <t>EUR/Jungs. *</t>
  </si>
  <si>
    <t xml:space="preserve"> dt/Sau</t>
  </si>
  <si>
    <t xml:space="preserve"> EUR/dt</t>
  </si>
  <si>
    <t>- Sauenfutter</t>
  </si>
  <si>
    <t xml:space="preserve"> *</t>
  </si>
  <si>
    <t xml:space="preserve">  =</t>
  </si>
  <si>
    <t>- Ferkelfutter</t>
  </si>
  <si>
    <t>- Tierarzt/Medikamente.</t>
  </si>
  <si>
    <t>- Eber, Besamung</t>
  </si>
  <si>
    <t>- Energie/Wasser/var. MK</t>
  </si>
  <si>
    <t>- Beiträge  (TSK,Ring), Sonstiges</t>
  </si>
  <si>
    <t>- Risiko, Verlustansatz</t>
  </si>
  <si>
    <t>- Vermarktungskosten</t>
  </si>
  <si>
    <t>EUR/St. =</t>
  </si>
  <si>
    <t>SUMME Direktkosten</t>
  </si>
  <si>
    <t>Gebäudekosten</t>
  </si>
  <si>
    <t>Herstellungskosten</t>
  </si>
  <si>
    <t xml:space="preserve">   Sauenplatz</t>
  </si>
  <si>
    <t>EUR</t>
  </si>
  <si>
    <t xml:space="preserve">   Aufzuchtplatz</t>
  </si>
  <si>
    <t xml:space="preserve"> x Aufzuchtplätze/Sau</t>
  </si>
  <si>
    <t>ergibt:</t>
  </si>
  <si>
    <t>- Abschreibungsdauer:</t>
  </si>
  <si>
    <t>Jahre</t>
  </si>
  <si>
    <t>- Eigenkapital-Anteil:</t>
  </si>
  <si>
    <t>- Zinsen Fremdkapital:</t>
  </si>
  <si>
    <t>- Zinsen Eigenkapital:</t>
  </si>
  <si>
    <t>+ Rep./Unterhaltung</t>
  </si>
  <si>
    <t>= jährl.Kosten:</t>
  </si>
  <si>
    <t>Zinsanspruch Vieh- und</t>
  </si>
  <si>
    <t>EUR/Sau</t>
  </si>
  <si>
    <t>Umlaufvermögen</t>
  </si>
  <si>
    <t>Sonstige Festkosten</t>
  </si>
  <si>
    <t>-   je Betriebszweig und Jahr</t>
  </si>
  <si>
    <t>-   Anzahl Sauenplätze</t>
  </si>
  <si>
    <t>Lohnanspruch</t>
  </si>
  <si>
    <t>- AKh/Sau/Jahr</t>
  </si>
  <si>
    <t>+ AKh/Aufzuchtpl./Jahr</t>
  </si>
  <si>
    <t>= AKh/Sau ges.</t>
  </si>
  <si>
    <t xml:space="preserve"> Lohnanspruch/AKh</t>
  </si>
  <si>
    <t>EUR/AKh</t>
  </si>
  <si>
    <t>SUMME Festkosten und Lohnanspruch</t>
  </si>
  <si>
    <t>GESAMTKOSTEN/SAU</t>
  </si>
  <si>
    <t>Verkaufsgewicht:</t>
  </si>
  <si>
    <t>EUR/Q.-Ferkel</t>
  </si>
  <si>
    <t>EUR/kg</t>
  </si>
  <si>
    <t>=&gt; Nötiger Ferkelpreis zur Deckung</t>
  </si>
  <si>
    <t>incl.MWSt.</t>
  </si>
  <si>
    <t>ohne MWSt.</t>
  </si>
  <si>
    <t xml:space="preserve">  a) der Direktkosten:</t>
  </si>
  <si>
    <t xml:space="preserve">  b) der Gesamtkosten - ohne Arbeit</t>
  </si>
  <si>
    <t xml:space="preserve">  c) der Gesamtkosten - mit Arbeit</t>
  </si>
  <si>
    <t>=&gt; realisierter Preis:</t>
  </si>
  <si>
    <t xml:space="preserve"> =&gt; Direktkostenfreie Leistung/Sau</t>
  </si>
  <si>
    <t>=&gt; realisierte Stundenverwertung:</t>
  </si>
  <si>
    <t>=&gt; Unternehmergewinn/Sau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</si>
</sst>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_)"/>
    <numFmt numFmtId="174" formatCode="0.00_)"/>
    <numFmt numFmtId="175" formatCode="dd\-mmm\-yy_)"/>
    <numFmt numFmtId="176" formatCode="#,##0.00\ &quot;DM&quot;_);\(#,##0.00\ &quot;DM&quot;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\ _D_M"/>
    <numFmt numFmtId="184" formatCode="[$-407]dddd\,\ d\.\ mmmm\ yyyy"/>
  </numFmts>
  <fonts count="5">
    <font>
      <sz val="12"/>
      <name val="Courier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 applyProtection="1">
      <alignment/>
      <protection/>
    </xf>
    <xf numFmtId="174" fontId="2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4" fontId="2" fillId="0" borderId="2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 applyProtection="1">
      <alignment/>
      <protection/>
    </xf>
    <xf numFmtId="173" fontId="2" fillId="0" borderId="6" xfId="0" applyNumberFormat="1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4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82" fontId="4" fillId="0" borderId="9" xfId="0" applyNumberFormat="1" applyFont="1" applyFill="1" applyBorder="1" applyAlignment="1">
      <alignment/>
    </xf>
    <xf numFmtId="49" fontId="2" fillId="0" borderId="3" xfId="0" applyNumberFormat="1" applyFont="1" applyFill="1" applyBorder="1" applyAlignment="1" applyProtection="1">
      <alignment/>
      <protection/>
    </xf>
    <xf numFmtId="49" fontId="2" fillId="0" borderId="3" xfId="0" applyNumberFormat="1" applyFont="1" applyFill="1" applyBorder="1" applyAlignment="1">
      <alignment/>
    </xf>
    <xf numFmtId="49" fontId="2" fillId="0" borderId="4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173" fontId="2" fillId="0" borderId="5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2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4" fontId="2" fillId="0" borderId="6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4" fillId="0" borderId="2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2" fontId="2" fillId="2" borderId="0" xfId="0" applyNumberFormat="1" applyFont="1" applyFill="1" applyAlignment="1" applyProtection="1">
      <alignment/>
      <protection locked="0"/>
    </xf>
    <xf numFmtId="173" fontId="2" fillId="2" borderId="0" xfId="0" applyNumberFormat="1" applyFont="1" applyFill="1" applyAlignment="1" applyProtection="1">
      <alignment/>
      <protection locked="0"/>
    </xf>
    <xf numFmtId="174" fontId="2" fillId="2" borderId="0" xfId="0" applyNumberFormat="1" applyFont="1" applyFill="1" applyAlignment="1" applyProtection="1">
      <alignment/>
      <protection locked="0"/>
    </xf>
    <xf numFmtId="173" fontId="2" fillId="2" borderId="8" xfId="0" applyNumberFormat="1" applyFont="1" applyFill="1" applyBorder="1" applyAlignment="1" applyProtection="1">
      <alignment/>
      <protection locked="0"/>
    </xf>
    <xf numFmtId="173" fontId="2" fillId="2" borderId="0" xfId="0" applyNumberFormat="1" applyFont="1" applyFill="1" applyBorder="1" applyAlignment="1" applyProtection="1">
      <alignment/>
      <protection locked="0"/>
    </xf>
    <xf numFmtId="174" fontId="2" fillId="2" borderId="0" xfId="0" applyNumberFormat="1" applyFont="1" applyFill="1" applyBorder="1" applyAlignment="1" applyProtection="1">
      <alignment/>
      <protection locked="0"/>
    </xf>
    <xf numFmtId="4" fontId="2" fillId="2" borderId="0" xfId="0" applyNumberFormat="1" applyFont="1" applyFill="1" applyAlignment="1" applyProtection="1">
      <alignment/>
      <protection locked="0"/>
    </xf>
    <xf numFmtId="174" fontId="2" fillId="2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182" fontId="2" fillId="2" borderId="0" xfId="0" applyNumberFormat="1" applyFont="1" applyFill="1" applyAlignment="1" applyProtection="1">
      <alignment/>
      <protection locked="0"/>
    </xf>
    <xf numFmtId="174" fontId="4" fillId="2" borderId="0" xfId="0" applyNumberFormat="1" applyFont="1" applyFill="1" applyAlignment="1" applyProtection="1">
      <alignment/>
      <protection locked="0"/>
    </xf>
    <xf numFmtId="14" fontId="2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1"/>
  <sheetViews>
    <sheetView showGridLines="0" tabSelected="1" workbookViewId="0" topLeftCell="A1">
      <selection activeCell="E5" sqref="E5"/>
    </sheetView>
  </sheetViews>
  <sheetFormatPr defaultColWidth="10.796875" defaultRowHeight="15"/>
  <cols>
    <col min="1" max="1" width="22.796875" style="4" customWidth="1"/>
    <col min="2" max="2" width="7.796875" style="4" customWidth="1"/>
    <col min="3" max="3" width="10.796875" style="4" customWidth="1"/>
    <col min="4" max="4" width="11.796875" style="4" customWidth="1"/>
    <col min="5" max="6" width="12.796875" style="4" customWidth="1"/>
    <col min="7" max="7" width="4.69921875" style="4" customWidth="1"/>
    <col min="8" max="16384" width="10.796875" style="4" customWidth="1"/>
  </cols>
  <sheetData>
    <row r="1" spans="1:7" ht="15.75">
      <c r="A1" s="21" t="s">
        <v>0</v>
      </c>
      <c r="B1" s="2"/>
      <c r="C1" s="2"/>
      <c r="D1" s="2"/>
      <c r="E1" s="2"/>
      <c r="F1" s="68">
        <f ca="1">NOW()</f>
        <v>40550.36537303241</v>
      </c>
      <c r="G1" s="3"/>
    </row>
    <row r="2" spans="1:7" ht="15.75">
      <c r="A2" s="21" t="s">
        <v>1</v>
      </c>
      <c r="B2" s="2"/>
      <c r="C2" s="2"/>
      <c r="D2" s="2"/>
      <c r="E2" s="2"/>
      <c r="F2" s="2"/>
      <c r="G2" s="3"/>
    </row>
    <row r="3" spans="1:7" ht="15">
      <c r="A3" s="5" t="s">
        <v>2</v>
      </c>
      <c r="B3" s="57">
        <v>28</v>
      </c>
      <c r="C3" s="6" t="s">
        <v>3</v>
      </c>
      <c r="D3" s="7"/>
      <c r="E3" s="7"/>
      <c r="F3" s="7"/>
      <c r="G3" s="3"/>
    </row>
    <row r="4" spans="1:7" ht="15">
      <c r="A4" s="5" t="s">
        <v>4</v>
      </c>
      <c r="B4" s="57">
        <v>10</v>
      </c>
      <c r="C4" s="6" t="s">
        <v>3</v>
      </c>
      <c r="D4" s="6" t="s">
        <v>5</v>
      </c>
      <c r="E4" s="8">
        <f>115+B3+B4+B5/100*21</f>
        <v>156.15</v>
      </c>
      <c r="F4" s="6" t="s">
        <v>3</v>
      </c>
      <c r="G4" s="3"/>
    </row>
    <row r="5" spans="1:7" ht="15">
      <c r="A5" s="5" t="s">
        <v>6</v>
      </c>
      <c r="B5" s="57">
        <v>15</v>
      </c>
      <c r="C5" s="6" t="s">
        <v>7</v>
      </c>
      <c r="D5" s="6" t="s">
        <v>8</v>
      </c>
      <c r="E5" s="9">
        <f>+(100*365*365/E4/B7)/(100*365/B7+B6)</f>
        <v>2.202338768882296</v>
      </c>
      <c r="F5" s="7"/>
      <c r="G5" s="3"/>
    </row>
    <row r="6" spans="1:7" ht="15">
      <c r="A6" s="5" t="s">
        <v>9</v>
      </c>
      <c r="B6" s="57">
        <v>56</v>
      </c>
      <c r="C6" s="6" t="s">
        <v>3</v>
      </c>
      <c r="D6" s="6"/>
      <c r="E6" s="9"/>
      <c r="F6" s="7"/>
      <c r="G6" s="3"/>
    </row>
    <row r="7" spans="1:7" ht="15">
      <c r="A7" s="5" t="s">
        <v>10</v>
      </c>
      <c r="B7" s="57">
        <v>40</v>
      </c>
      <c r="C7" s="6" t="s">
        <v>7</v>
      </c>
      <c r="D7" s="6" t="s">
        <v>11</v>
      </c>
      <c r="E7" s="9"/>
      <c r="F7" s="7"/>
      <c r="G7" s="3"/>
    </row>
    <row r="8" spans="1:7" ht="15">
      <c r="A8" s="5" t="s">
        <v>12</v>
      </c>
      <c r="B8" s="58">
        <v>10.8</v>
      </c>
      <c r="C8" s="7"/>
      <c r="D8" s="6" t="s">
        <v>13</v>
      </c>
      <c r="E8" s="10">
        <f>E5*B8</f>
        <v>23.7852587039288</v>
      </c>
      <c r="F8" s="6" t="s">
        <v>14</v>
      </c>
      <c r="G8" s="3"/>
    </row>
    <row r="9" spans="1:7" ht="15">
      <c r="A9" s="5" t="s">
        <v>15</v>
      </c>
      <c r="B9" s="58">
        <v>13</v>
      </c>
      <c r="C9" s="6" t="s">
        <v>7</v>
      </c>
      <c r="D9" s="6" t="s">
        <v>16</v>
      </c>
      <c r="E9" s="10">
        <f>E8*(100-B9)/100</f>
        <v>20.693175072418057</v>
      </c>
      <c r="F9" s="6" t="s">
        <v>14</v>
      </c>
      <c r="G9" s="3"/>
    </row>
    <row r="10" spans="1:7" ht="15.75">
      <c r="A10" s="21" t="s">
        <v>17</v>
      </c>
      <c r="B10" s="2"/>
      <c r="C10" s="2"/>
      <c r="D10" s="2"/>
      <c r="E10" s="2"/>
      <c r="F10" s="2"/>
      <c r="G10" s="3"/>
    </row>
    <row r="11" spans="1:7" ht="15">
      <c r="A11" s="3"/>
      <c r="B11" s="7"/>
      <c r="C11" s="7"/>
      <c r="D11" s="6" t="s">
        <v>18</v>
      </c>
      <c r="E11" s="6" t="s">
        <v>19</v>
      </c>
      <c r="F11" s="6" t="s">
        <v>20</v>
      </c>
      <c r="G11" s="3"/>
    </row>
    <row r="12" spans="1:7" ht="15">
      <c r="A12" s="5" t="s">
        <v>21</v>
      </c>
      <c r="B12" s="58">
        <v>8</v>
      </c>
      <c r="C12" s="11" t="s">
        <v>22</v>
      </c>
      <c r="D12" s="8">
        <f>B3</f>
        <v>28</v>
      </c>
      <c r="E12" s="8">
        <f>(B12-1.3)/D12*1000</f>
        <v>239.2857142857143</v>
      </c>
      <c r="F12" s="7"/>
      <c r="G12" s="3"/>
    </row>
    <row r="13" spans="1:7" ht="15">
      <c r="A13" s="5" t="s">
        <v>23</v>
      </c>
      <c r="B13" s="8">
        <v>20</v>
      </c>
      <c r="C13" s="11" t="s">
        <v>22</v>
      </c>
      <c r="D13" s="57">
        <v>64</v>
      </c>
      <c r="E13" s="8">
        <f>(B13-B12)/(D13-D12)*1000</f>
        <v>333.3333333333333</v>
      </c>
      <c r="F13" s="59">
        <v>1.65</v>
      </c>
      <c r="G13" s="3"/>
    </row>
    <row r="14" spans="1:7" ht="15">
      <c r="A14" s="5" t="s">
        <v>23</v>
      </c>
      <c r="B14" s="8">
        <v>25</v>
      </c>
      <c r="C14" s="11" t="s">
        <v>22</v>
      </c>
      <c r="D14" s="57">
        <v>75</v>
      </c>
      <c r="E14" s="8">
        <f>(B14-B13)/(D14-D13)*1000</f>
        <v>454.5454545454545</v>
      </c>
      <c r="F14" s="59">
        <v>2</v>
      </c>
      <c r="G14" s="3"/>
    </row>
    <row r="15" spans="1:7" ht="15">
      <c r="A15" s="5" t="s">
        <v>23</v>
      </c>
      <c r="B15" s="8">
        <v>30</v>
      </c>
      <c r="C15" s="11" t="s">
        <v>22</v>
      </c>
      <c r="D15" s="57">
        <v>85</v>
      </c>
      <c r="E15" s="8">
        <f>(B15-B14)/(D15-D14)*1000</f>
        <v>500</v>
      </c>
      <c r="F15" s="59">
        <v>2.35</v>
      </c>
      <c r="G15" s="3"/>
    </row>
    <row r="16" spans="1:7" ht="15">
      <c r="A16" s="3"/>
      <c r="B16" s="8"/>
      <c r="C16" s="8"/>
      <c r="D16" s="8"/>
      <c r="E16" s="8"/>
      <c r="F16" s="7"/>
      <c r="G16" s="3"/>
    </row>
    <row r="17" spans="1:7" ht="15">
      <c r="A17" s="5" t="s">
        <v>24</v>
      </c>
      <c r="B17" s="58">
        <v>30</v>
      </c>
      <c r="C17" s="11" t="s">
        <v>22</v>
      </c>
      <c r="D17" s="8">
        <f>IF(B17&lt;=B12,D12,IF(B17&lt;=B13,D12+(B17-B12)/E13*1000,IF(B17&lt;=B14,D13+(B17-B13)/E14*1000,IF(B17&lt;=B15,D14+(B17-B14)/E15*1000,D15+(B17-B15)/E15*1000))))</f>
        <v>85</v>
      </c>
      <c r="E17" s="8"/>
      <c r="F17" s="7"/>
      <c r="G17" s="3"/>
    </row>
    <row r="18" spans="1:7" ht="15">
      <c r="A18" s="24"/>
      <c r="B18" s="25"/>
      <c r="C18" s="25"/>
      <c r="D18" s="26" t="s">
        <v>25</v>
      </c>
      <c r="E18" s="25"/>
      <c r="F18" s="27">
        <f>IF(B17&lt;=20,(B17-B12)*F13,IF(B17&lt;=25,(B13-B12)*F13+(B17-B13)*F14,(B13-B12)*F13+5*F14+(B17-25)*F15))</f>
        <v>41.55</v>
      </c>
      <c r="G18" s="3"/>
    </row>
    <row r="19" spans="1:7" ht="15.75">
      <c r="A19" s="28" t="s">
        <v>26</v>
      </c>
      <c r="B19" s="60">
        <v>2.5</v>
      </c>
      <c r="C19" s="29" t="s">
        <v>7</v>
      </c>
      <c r="D19" s="30" t="s">
        <v>27</v>
      </c>
      <c r="E19" s="31"/>
      <c r="F19" s="32">
        <f>+E9*(100-B19)/100</f>
        <v>20.175845695607606</v>
      </c>
      <c r="G19" s="3"/>
    </row>
    <row r="20" spans="2:7" ht="15.75">
      <c r="B20" s="6"/>
      <c r="C20" s="6"/>
      <c r="D20" s="22"/>
      <c r="E20" s="7"/>
      <c r="F20" s="23"/>
      <c r="G20" s="3"/>
    </row>
    <row r="21" spans="1:7" ht="15.75">
      <c r="A21" s="21" t="s">
        <v>28</v>
      </c>
      <c r="B21" s="2"/>
      <c r="C21" s="2"/>
      <c r="D21" s="2"/>
      <c r="E21" s="2"/>
      <c r="F21" s="2"/>
      <c r="G21" s="3"/>
    </row>
    <row r="22" spans="1:7" ht="15">
      <c r="A22" s="33" t="s">
        <v>29</v>
      </c>
      <c r="B22" s="57">
        <v>160</v>
      </c>
      <c r="C22" s="6" t="s">
        <v>30</v>
      </c>
      <c r="D22" s="12">
        <f>D27</f>
        <v>40</v>
      </c>
      <c r="E22" s="6" t="s">
        <v>31</v>
      </c>
      <c r="F22" s="47">
        <f>D22/100*B22</f>
        <v>64</v>
      </c>
      <c r="G22" s="3"/>
    </row>
    <row r="23" spans="1:7" ht="15">
      <c r="A23" s="34" t="s">
        <v>32</v>
      </c>
      <c r="B23" s="57">
        <v>60</v>
      </c>
      <c r="C23" s="7" t="s">
        <v>33</v>
      </c>
      <c r="D23" s="61">
        <v>2</v>
      </c>
      <c r="E23" s="7" t="s">
        <v>31</v>
      </c>
      <c r="F23" s="47">
        <f>+F19*D23/100*B23</f>
        <v>24.211014834729127</v>
      </c>
      <c r="G23" s="3"/>
    </row>
    <row r="24" spans="1:7" ht="15">
      <c r="A24" s="33" t="s">
        <v>34</v>
      </c>
      <c r="B24" s="10">
        <f>+F19*(100-D23)/100</f>
        <v>19.772328781695453</v>
      </c>
      <c r="C24" s="6" t="s">
        <v>35</v>
      </c>
      <c r="D24" s="10">
        <f>B17</f>
        <v>30</v>
      </c>
      <c r="E24" s="6" t="s">
        <v>22</v>
      </c>
      <c r="F24" s="48"/>
      <c r="G24" s="3"/>
    </row>
    <row r="25" spans="1:7" ht="15">
      <c r="A25" s="33" t="s">
        <v>36</v>
      </c>
      <c r="B25" s="61">
        <v>10.7</v>
      </c>
      <c r="C25" s="6" t="s">
        <v>7</v>
      </c>
      <c r="D25" s="7"/>
      <c r="E25" s="7"/>
      <c r="F25" s="48"/>
      <c r="G25" s="3"/>
    </row>
    <row r="26" spans="1:7" ht="15.75">
      <c r="A26" s="21" t="s">
        <v>37</v>
      </c>
      <c r="B26" s="2"/>
      <c r="C26" s="2"/>
      <c r="D26" s="2"/>
      <c r="E26" s="2"/>
      <c r="F26" s="49"/>
      <c r="G26" s="3"/>
    </row>
    <row r="27" spans="1:7" ht="15">
      <c r="A27" s="5" t="s">
        <v>38</v>
      </c>
      <c r="B27" s="57">
        <v>300</v>
      </c>
      <c r="C27" s="6" t="s">
        <v>39</v>
      </c>
      <c r="D27" s="12">
        <f>B7</f>
        <v>40</v>
      </c>
      <c r="E27" s="6" t="s">
        <v>31</v>
      </c>
      <c r="F27" s="47">
        <f>B27*D27/100</f>
        <v>120</v>
      </c>
      <c r="G27" s="3"/>
    </row>
    <row r="28" spans="1:7" ht="15">
      <c r="A28" s="3"/>
      <c r="B28" s="6" t="s">
        <v>40</v>
      </c>
      <c r="C28" s="7"/>
      <c r="D28" s="6" t="s">
        <v>41</v>
      </c>
      <c r="E28" s="7"/>
      <c r="F28" s="47"/>
      <c r="G28" s="3"/>
    </row>
    <row r="29" spans="1:7" ht="15">
      <c r="A29" s="33" t="s">
        <v>42</v>
      </c>
      <c r="B29" s="61">
        <v>12</v>
      </c>
      <c r="C29" s="6" t="s">
        <v>43</v>
      </c>
      <c r="D29" s="62">
        <v>27</v>
      </c>
      <c r="E29" s="6" t="s">
        <v>44</v>
      </c>
      <c r="F29" s="47">
        <f>D29*B29</f>
        <v>324</v>
      </c>
      <c r="G29" s="3"/>
    </row>
    <row r="30" spans="1:7" ht="15">
      <c r="A30" s="33" t="s">
        <v>45</v>
      </c>
      <c r="B30" s="10">
        <f>F18*E9/100</f>
        <v>8.598014242589702</v>
      </c>
      <c r="C30" s="6" t="s">
        <v>43</v>
      </c>
      <c r="D30" s="62">
        <v>33</v>
      </c>
      <c r="E30" s="6" t="s">
        <v>44</v>
      </c>
      <c r="F30" s="47">
        <f>D30*B30</f>
        <v>283.7344700054602</v>
      </c>
      <c r="G30" s="3"/>
    </row>
    <row r="31" spans="1:7" ht="15">
      <c r="A31" s="33" t="s">
        <v>46</v>
      </c>
      <c r="B31" s="7"/>
      <c r="C31" s="7"/>
      <c r="D31" s="7"/>
      <c r="E31" s="7"/>
      <c r="F31" s="63">
        <v>100</v>
      </c>
      <c r="G31" s="3"/>
    </row>
    <row r="32" spans="1:7" ht="15">
      <c r="A32" s="33" t="s">
        <v>47</v>
      </c>
      <c r="B32" s="7"/>
      <c r="C32" s="7"/>
      <c r="D32" s="7"/>
      <c r="E32" s="7"/>
      <c r="F32" s="63">
        <v>28</v>
      </c>
      <c r="G32" s="3"/>
    </row>
    <row r="33" spans="1:7" ht="15">
      <c r="A33" s="33" t="s">
        <v>48</v>
      </c>
      <c r="B33" s="7"/>
      <c r="C33" s="7"/>
      <c r="D33" s="7"/>
      <c r="E33" s="7"/>
      <c r="F33" s="63">
        <v>80</v>
      </c>
      <c r="G33" s="3"/>
    </row>
    <row r="34" spans="1:7" ht="15">
      <c r="A34" s="33" t="s">
        <v>49</v>
      </c>
      <c r="B34" s="7"/>
      <c r="C34" s="7"/>
      <c r="D34" s="7"/>
      <c r="E34" s="7"/>
      <c r="F34" s="63">
        <v>30</v>
      </c>
      <c r="G34" s="3"/>
    </row>
    <row r="35" spans="1:7" ht="15">
      <c r="A35" s="33" t="s">
        <v>50</v>
      </c>
      <c r="B35" s="7"/>
      <c r="C35" s="7"/>
      <c r="D35" s="61">
        <v>3</v>
      </c>
      <c r="E35" s="6" t="s">
        <v>31</v>
      </c>
      <c r="F35" s="47">
        <f>D35/100*B27</f>
        <v>9</v>
      </c>
      <c r="G35" s="3"/>
    </row>
    <row r="36" spans="1:7" ht="15">
      <c r="A36" s="35" t="s">
        <v>51</v>
      </c>
      <c r="B36" s="25"/>
      <c r="C36" s="25"/>
      <c r="D36" s="64">
        <v>2</v>
      </c>
      <c r="E36" s="25" t="s">
        <v>52</v>
      </c>
      <c r="F36" s="50">
        <f>+F19*D36</f>
        <v>40.35169139121521</v>
      </c>
      <c r="G36" s="3"/>
    </row>
    <row r="37" spans="1:7" ht="15.75">
      <c r="A37" s="18" t="s">
        <v>53</v>
      </c>
      <c r="B37" s="7"/>
      <c r="C37" s="7"/>
      <c r="D37" s="7"/>
      <c r="E37" s="7"/>
      <c r="F37" s="51">
        <f>F27+F29+F30+F31+F32+F33+F34+F35+F36</f>
        <v>1015.0861613966755</v>
      </c>
      <c r="G37" s="3"/>
    </row>
    <row r="38" spans="1:6" ht="15">
      <c r="A38" s="2"/>
      <c r="B38" s="2"/>
      <c r="C38" s="2"/>
      <c r="D38" s="2"/>
      <c r="E38" s="2"/>
      <c r="F38" s="49"/>
    </row>
    <row r="39" spans="1:6" ht="15">
      <c r="A39" s="7"/>
      <c r="B39" s="7"/>
      <c r="C39" s="7"/>
      <c r="D39" s="7"/>
      <c r="E39" s="7"/>
      <c r="F39" s="48"/>
    </row>
    <row r="40" spans="1:7" ht="15.75">
      <c r="A40" s="21" t="s">
        <v>54</v>
      </c>
      <c r="B40" s="2"/>
      <c r="C40" s="2"/>
      <c r="D40" s="2"/>
      <c r="E40" s="2"/>
      <c r="F40" s="52"/>
      <c r="G40" s="3"/>
    </row>
    <row r="41" spans="1:7" ht="15">
      <c r="A41" s="5" t="s">
        <v>55</v>
      </c>
      <c r="B41" s="7"/>
      <c r="C41" s="7"/>
      <c r="D41" s="7"/>
      <c r="E41" s="7"/>
      <c r="F41" s="47"/>
      <c r="G41" s="3"/>
    </row>
    <row r="42" spans="1:7" ht="15">
      <c r="A42" s="5" t="s">
        <v>56</v>
      </c>
      <c r="B42" s="65">
        <v>2500</v>
      </c>
      <c r="C42" s="6" t="s">
        <v>57</v>
      </c>
      <c r="D42" s="7"/>
      <c r="E42" s="7"/>
      <c r="F42" s="47"/>
      <c r="G42" s="3"/>
    </row>
    <row r="43" spans="1:7" ht="15">
      <c r="A43" s="5" t="s">
        <v>58</v>
      </c>
      <c r="B43" s="65">
        <v>250</v>
      </c>
      <c r="C43" s="6" t="s">
        <v>57</v>
      </c>
      <c r="D43" s="7"/>
      <c r="E43" s="7"/>
      <c r="F43" s="47"/>
      <c r="G43" s="3"/>
    </row>
    <row r="44" spans="1:7" ht="15">
      <c r="A44" s="5" t="s">
        <v>59</v>
      </c>
      <c r="B44" s="9">
        <f>(D17-D12)*E9/365*1.1</f>
        <v>3.5546906220290744</v>
      </c>
      <c r="C44" s="6" t="s">
        <v>60</v>
      </c>
      <c r="D44" s="8">
        <f>B44*B43+B42</f>
        <v>3388.6726555072687</v>
      </c>
      <c r="E44" s="6" t="s">
        <v>57</v>
      </c>
      <c r="F44" s="47"/>
      <c r="G44" s="3"/>
    </row>
    <row r="45" spans="1:7" ht="15">
      <c r="A45" s="5" t="s">
        <v>61</v>
      </c>
      <c r="B45" s="66">
        <v>16.7</v>
      </c>
      <c r="C45" s="6" t="s">
        <v>62</v>
      </c>
      <c r="D45" s="7"/>
      <c r="E45" s="7"/>
      <c r="F45" s="47"/>
      <c r="G45" s="3"/>
    </row>
    <row r="46" spans="1:7" ht="15">
      <c r="A46" s="5" t="s">
        <v>63</v>
      </c>
      <c r="B46" s="65">
        <v>30</v>
      </c>
      <c r="C46" s="6" t="s">
        <v>7</v>
      </c>
      <c r="D46" s="7"/>
      <c r="E46" s="7"/>
      <c r="F46" s="47"/>
      <c r="G46" s="3"/>
    </row>
    <row r="47" spans="1:7" ht="15">
      <c r="A47" s="5" t="s">
        <v>64</v>
      </c>
      <c r="B47" s="58">
        <v>6</v>
      </c>
      <c r="C47" s="6" t="s">
        <v>7</v>
      </c>
      <c r="D47" s="7"/>
      <c r="E47" s="7"/>
      <c r="F47" s="47"/>
      <c r="G47" s="3"/>
    </row>
    <row r="48" spans="1:7" ht="15">
      <c r="A48" s="5" t="s">
        <v>65</v>
      </c>
      <c r="B48" s="58">
        <v>3</v>
      </c>
      <c r="C48" s="6" t="s">
        <v>7</v>
      </c>
      <c r="D48" s="7"/>
      <c r="E48" s="7"/>
      <c r="F48" s="47"/>
      <c r="G48" s="3"/>
    </row>
    <row r="49" spans="1:7" ht="15">
      <c r="A49" s="5" t="s">
        <v>66</v>
      </c>
      <c r="B49" s="58">
        <v>1.5</v>
      </c>
      <c r="C49" s="6" t="s">
        <v>7</v>
      </c>
      <c r="D49" s="7"/>
      <c r="E49" s="7"/>
      <c r="F49" s="47"/>
      <c r="G49" s="3"/>
    </row>
    <row r="50" spans="1:7" ht="15">
      <c r="A50" s="36" t="s">
        <v>67</v>
      </c>
      <c r="B50" s="37">
        <f>100/B45+B46/100*B48/2+(100-B46)/100*B47/2+B49</f>
        <v>10.03802395209581</v>
      </c>
      <c r="C50" s="26" t="s">
        <v>7</v>
      </c>
      <c r="D50" s="25"/>
      <c r="E50" s="26" t="s">
        <v>44</v>
      </c>
      <c r="F50" s="53">
        <f>B50/100*D44</f>
        <v>340.1557728179407</v>
      </c>
      <c r="G50" s="3"/>
    </row>
    <row r="51" spans="1:7" ht="15.75">
      <c r="A51" s="18" t="s">
        <v>68</v>
      </c>
      <c r="B51" s="8">
        <f>(B22+B27)/2+(F29+F30+F31+F32+F33+F34)/E5</f>
        <v>614.0165200536687</v>
      </c>
      <c r="C51" s="6" t="s">
        <v>69</v>
      </c>
      <c r="D51" s="7"/>
      <c r="E51" s="6"/>
      <c r="F51" s="47"/>
      <c r="G51" s="3"/>
    </row>
    <row r="52" spans="1:7" ht="15.75">
      <c r="A52" s="18" t="s">
        <v>70</v>
      </c>
      <c r="B52" s="58">
        <v>4</v>
      </c>
      <c r="C52" s="6" t="s">
        <v>7</v>
      </c>
      <c r="D52" s="7"/>
      <c r="E52" s="26" t="s">
        <v>44</v>
      </c>
      <c r="F52" s="53">
        <f>+B52/100*B51</f>
        <v>24.56066080214675</v>
      </c>
      <c r="G52" s="3"/>
    </row>
    <row r="53" spans="1:7" ht="15.75">
      <c r="A53" s="21" t="s">
        <v>71</v>
      </c>
      <c r="B53" s="2"/>
      <c r="C53" s="2"/>
      <c r="D53" s="2"/>
      <c r="E53" s="2"/>
      <c r="F53" s="52"/>
      <c r="G53" s="3"/>
    </row>
    <row r="54" spans="1:7" ht="15">
      <c r="A54" s="5" t="s">
        <v>72</v>
      </c>
      <c r="B54" s="7"/>
      <c r="C54" s="65">
        <v>2400</v>
      </c>
      <c r="D54" s="7"/>
      <c r="E54" s="7"/>
      <c r="F54" s="47"/>
      <c r="G54" s="3"/>
    </row>
    <row r="55" spans="1:7" ht="15">
      <c r="A55" s="5" t="s">
        <v>73</v>
      </c>
      <c r="B55" s="7"/>
      <c r="C55" s="65">
        <v>120</v>
      </c>
      <c r="D55" s="7"/>
      <c r="E55" s="6" t="s">
        <v>44</v>
      </c>
      <c r="F55" s="47">
        <f>C54/C55</f>
        <v>20</v>
      </c>
      <c r="G55" s="3"/>
    </row>
    <row r="56" spans="1:7" ht="15.75">
      <c r="A56" s="21" t="s">
        <v>74</v>
      </c>
      <c r="B56" s="2"/>
      <c r="C56" s="2"/>
      <c r="D56" s="2"/>
      <c r="E56" s="2"/>
      <c r="F56" s="52"/>
      <c r="G56" s="3"/>
    </row>
    <row r="57" spans="1:7" ht="15">
      <c r="A57" s="5" t="s">
        <v>75</v>
      </c>
      <c r="B57" s="65">
        <v>12</v>
      </c>
      <c r="C57" s="7"/>
      <c r="D57" s="7"/>
      <c r="E57" s="7"/>
      <c r="F57" s="47"/>
      <c r="G57" s="3"/>
    </row>
    <row r="58" spans="1:7" ht="15">
      <c r="A58" s="5" t="s">
        <v>76</v>
      </c>
      <c r="B58" s="58">
        <v>0.8</v>
      </c>
      <c r="C58" s="7"/>
      <c r="D58" s="7"/>
      <c r="E58" s="7"/>
      <c r="F58" s="47"/>
      <c r="G58" s="3"/>
    </row>
    <row r="59" spans="1:7" ht="15">
      <c r="A59" s="5" t="s">
        <v>77</v>
      </c>
      <c r="B59" s="10">
        <f>B57+B58*B44</f>
        <v>14.84375249762326</v>
      </c>
      <c r="C59" s="6"/>
      <c r="D59" s="13"/>
      <c r="F59" s="54"/>
      <c r="G59" s="3"/>
    </row>
    <row r="60" spans="1:7" ht="15">
      <c r="A60" s="5" t="s">
        <v>78</v>
      </c>
      <c r="B60" s="59">
        <v>16</v>
      </c>
      <c r="C60" s="6" t="s">
        <v>79</v>
      </c>
      <c r="D60" s="13"/>
      <c r="E60" s="6" t="s">
        <v>44</v>
      </c>
      <c r="F60" s="47">
        <f>B60*B59</f>
        <v>237.50003996197216</v>
      </c>
      <c r="G60" s="3"/>
    </row>
    <row r="61" spans="1:7" ht="15.75">
      <c r="A61" s="21" t="s">
        <v>80</v>
      </c>
      <c r="B61" s="2"/>
      <c r="C61" s="2"/>
      <c r="D61" s="2"/>
      <c r="E61" s="2"/>
      <c r="F61" s="55">
        <f>F50+F52+F55+F60</f>
        <v>622.2164735820596</v>
      </c>
      <c r="G61" s="3"/>
    </row>
    <row r="62" spans="1:7" ht="15.75">
      <c r="A62" s="18"/>
      <c r="B62" s="38"/>
      <c r="C62" s="38"/>
      <c r="D62" s="38"/>
      <c r="E62" s="38"/>
      <c r="F62" s="56"/>
      <c r="G62" s="3"/>
    </row>
    <row r="63" spans="1:7" ht="15.75">
      <c r="A63" s="18" t="s">
        <v>81</v>
      </c>
      <c r="B63" s="7"/>
      <c r="C63" s="7"/>
      <c r="D63" s="7"/>
      <c r="E63" s="7"/>
      <c r="F63" s="51">
        <f>F61+F37</f>
        <v>1637.3026349787351</v>
      </c>
      <c r="G63" s="3"/>
    </row>
    <row r="64" spans="1:7" ht="15">
      <c r="A64" s="14"/>
      <c r="B64" s="2"/>
      <c r="C64" s="2"/>
      <c r="D64" s="2"/>
      <c r="E64" s="2"/>
      <c r="F64" s="2"/>
      <c r="G64" s="3"/>
    </row>
    <row r="65" spans="1:7" ht="15.75">
      <c r="A65" s="15" t="s">
        <v>82</v>
      </c>
      <c r="B65" s="16">
        <f>B17</f>
        <v>30</v>
      </c>
      <c r="C65" s="17" t="s">
        <v>22</v>
      </c>
      <c r="D65" s="17" t="s">
        <v>83</v>
      </c>
      <c r="E65" s="39" t="s">
        <v>83</v>
      </c>
      <c r="F65" s="17" t="s">
        <v>84</v>
      </c>
      <c r="G65" s="3"/>
    </row>
    <row r="66" spans="1:7" ht="15.75">
      <c r="A66" s="18" t="s">
        <v>85</v>
      </c>
      <c r="B66" s="7"/>
      <c r="C66" s="7"/>
      <c r="D66" s="19" t="s">
        <v>86</v>
      </c>
      <c r="E66" s="40" t="s">
        <v>87</v>
      </c>
      <c r="F66" s="19" t="s">
        <v>87</v>
      </c>
      <c r="G66" s="3"/>
    </row>
    <row r="67" spans="1:7" ht="15.75">
      <c r="A67" s="1" t="s">
        <v>88</v>
      </c>
      <c r="B67" s="2"/>
      <c r="C67" s="2"/>
      <c r="D67" s="20">
        <f>(F37-F22-F23)/B24</f>
        <v>46.877388940650015</v>
      </c>
      <c r="E67" s="42">
        <f>F67*B65</f>
        <v>42.34633147303524</v>
      </c>
      <c r="F67" s="43">
        <f>D67/D24/(B25+100)*100</f>
        <v>1.411544382434508</v>
      </c>
      <c r="G67" s="3"/>
    </row>
    <row r="68" spans="1:7" ht="15.75">
      <c r="A68" s="3"/>
      <c r="B68" s="7"/>
      <c r="C68" s="7"/>
      <c r="D68" s="7"/>
      <c r="E68" s="44"/>
      <c r="F68" s="22"/>
      <c r="G68" s="3"/>
    </row>
    <row r="69" spans="1:7" ht="15.75">
      <c r="A69" s="5" t="s">
        <v>89</v>
      </c>
      <c r="B69" s="7"/>
      <c r="C69" s="7"/>
      <c r="D69" s="9">
        <f>(F63-F60-F22-F23)/B24</f>
        <v>66.33470415463961</v>
      </c>
      <c r="E69" s="45">
        <f>F69*B65</f>
        <v>59.922948649177606</v>
      </c>
      <c r="F69" s="46">
        <f>D69/D24/(B25+100)*100</f>
        <v>1.9974316216392536</v>
      </c>
      <c r="G69" s="3"/>
    </row>
    <row r="70" spans="1:7" ht="15.75">
      <c r="A70" s="3"/>
      <c r="B70" s="7"/>
      <c r="C70" s="7"/>
      <c r="D70" s="7"/>
      <c r="E70" s="44"/>
      <c r="F70" s="22"/>
      <c r="G70" s="3"/>
    </row>
    <row r="71" spans="1:7" ht="15.75">
      <c r="A71" s="5" t="s">
        <v>90</v>
      </c>
      <c r="B71" s="7"/>
      <c r="C71" s="7"/>
      <c r="D71" s="9">
        <f>(F63-F22-F23)/B24</f>
        <v>78.34644250798125</v>
      </c>
      <c r="E71" s="45">
        <f>F71*B65</f>
        <v>70.77366080215108</v>
      </c>
      <c r="F71" s="46">
        <f>D71/D24/(B25+100)*100</f>
        <v>2.3591220267383695</v>
      </c>
      <c r="G71" s="3"/>
    </row>
    <row r="72" spans="1:7" ht="15.75">
      <c r="A72" s="3"/>
      <c r="B72" s="7"/>
      <c r="C72" s="7"/>
      <c r="D72" s="9"/>
      <c r="E72" s="45"/>
      <c r="F72" s="46"/>
      <c r="G72" s="3"/>
    </row>
    <row r="73" spans="1:7" ht="15.75">
      <c r="A73" s="5" t="s">
        <v>91</v>
      </c>
      <c r="B73" s="7"/>
      <c r="C73" s="7"/>
      <c r="D73" s="9">
        <f>E73*(B25+100)/100</f>
        <v>59.778</v>
      </c>
      <c r="E73" s="45">
        <f>F73*B65</f>
        <v>54</v>
      </c>
      <c r="F73" s="67">
        <v>1.8</v>
      </c>
      <c r="G73" s="3"/>
    </row>
    <row r="74" spans="1:7" ht="15">
      <c r="A74" s="3"/>
      <c r="B74" s="7"/>
      <c r="C74" s="7"/>
      <c r="D74" s="7"/>
      <c r="E74" s="41"/>
      <c r="F74" s="7"/>
      <c r="G74" s="3"/>
    </row>
    <row r="75" spans="1:7" ht="15.75">
      <c r="A75" s="1" t="s">
        <v>92</v>
      </c>
      <c r="B75" s="2"/>
      <c r="C75" s="2"/>
      <c r="D75" s="2"/>
      <c r="E75" s="43">
        <f>ROUND(D73*B24+F22+F23-F37,0)</f>
        <v>255</v>
      </c>
      <c r="F75" s="15" t="s">
        <v>69</v>
      </c>
      <c r="G75" s="3"/>
    </row>
    <row r="76" spans="1:7" ht="15.75">
      <c r="A76" s="3"/>
      <c r="B76" s="7"/>
      <c r="C76" s="7"/>
      <c r="D76" s="7"/>
      <c r="E76" s="22"/>
      <c r="F76" s="7"/>
      <c r="G76" s="3"/>
    </row>
    <row r="77" spans="1:7" ht="15.75">
      <c r="A77" s="5" t="s">
        <v>93</v>
      </c>
      <c r="B77" s="7"/>
      <c r="C77" s="7"/>
      <c r="D77" s="7"/>
      <c r="E77" s="46">
        <f>(D73*B24+F22+F23-F37-F50-F52-F55)/B59</f>
        <v>-8.733728906528231</v>
      </c>
      <c r="F77" s="6" t="s">
        <v>79</v>
      </c>
      <c r="G77" s="3"/>
    </row>
    <row r="78" spans="1:7" ht="15.75">
      <c r="A78" s="3"/>
      <c r="B78" s="7"/>
      <c r="C78" s="7"/>
      <c r="D78" s="7"/>
      <c r="E78" s="22"/>
      <c r="F78" s="7"/>
      <c r="G78" s="3"/>
    </row>
    <row r="79" spans="1:7" ht="15.75">
      <c r="A79" s="5" t="s">
        <v>94</v>
      </c>
      <c r="B79" s="7"/>
      <c r="C79" s="7"/>
      <c r="D79" s="7"/>
      <c r="E79" s="46">
        <f>ROUND(D73*B24+F22+F23-F63,0)</f>
        <v>-367</v>
      </c>
      <c r="F79" s="6" t="s">
        <v>57</v>
      </c>
      <c r="G79" s="3"/>
    </row>
    <row r="80" spans="1:6" ht="15">
      <c r="A80" s="2"/>
      <c r="B80" s="2"/>
      <c r="C80" s="2"/>
      <c r="D80" s="2"/>
      <c r="E80" s="2"/>
      <c r="F80" s="2"/>
    </row>
    <row r="81" spans="1:6" ht="15">
      <c r="A81" s="7"/>
      <c r="B81" s="7"/>
      <c r="C81" s="7"/>
      <c r="D81" s="7"/>
      <c r="E81" s="7"/>
      <c r="F81" s="7"/>
    </row>
  </sheetData>
  <printOptions/>
  <pageMargins left="0.87" right="0.3937007874015748" top="1.62" bottom="0.84" header="0.31" footer="0.41"/>
  <pageSetup fitToHeight="2" horizontalDpi="600" verticalDpi="600" orientation="portrait" paperSize="9" scale="85" r:id="rId2"/>
  <headerFooter alignWithMargins="0">
    <oddHeader>&amp;R&amp;G</oddHeader>
    <oddFooter>&amp;L©&amp;"Arial,Standard"&amp;10 DLR Westerwald-Osteifel
   Bahnhofstr. 32, 56410 Montabaur&amp;R&amp;"Arial,Standard"&amp;10Tel. 02602 9228-0</oddFooter>
  </headerFooter>
  <rowBreaks count="1" manualBreakCount="1">
    <brk id="38" max="6553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2011-01-05T12:42:24Z</cp:lastPrinted>
  <dcterms:created xsi:type="dcterms:W3CDTF">2000-10-25T12:29:00Z</dcterms:created>
  <dcterms:modified xsi:type="dcterms:W3CDTF">2011-01-07T09:34:17Z</dcterms:modified>
  <cp:category/>
  <cp:version/>
  <cp:contentType/>
  <cp:contentStatus/>
</cp:coreProperties>
</file>